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enne_projektmappe"/>
  <bookViews>
    <workbookView xWindow="327" yWindow="26" windowWidth="11337" windowHeight="6559" activeTab="0"/>
  </bookViews>
  <sheets>
    <sheet name="2014" sheetId="1" r:id="rId1"/>
    <sheet name="2014-2017" sheetId="2" r:id="rId2"/>
  </sheets>
  <definedNames>
    <definedName name="_xlnm.Print_Titles" localSheetId="0">'2014'!$1:$3</definedName>
    <definedName name="_xlnm.Print_Titles" localSheetId="1">'2014-2017'!$2:$3</definedName>
  </definedNames>
  <calcPr fullCalcOnLoad="1"/>
</workbook>
</file>

<file path=xl/comments1.xml><?xml version="1.0" encoding="utf-8"?>
<comments xmlns="http://schemas.openxmlformats.org/spreadsheetml/2006/main">
  <authors>
    <author>J?rn Pedersen</author>
  </authors>
  <commentList>
    <comment ref="K30" authorId="0">
      <text>
        <r>
          <rPr>
            <b/>
            <sz val="9"/>
            <rFont val="Tahoma"/>
            <family val="0"/>
          </rPr>
          <t>Jørn Pedersen:</t>
        </r>
        <r>
          <rPr>
            <sz val="9"/>
            <rFont val="Tahoma"/>
            <family val="0"/>
          </rPr>
          <t xml:space="preserve">
Stigning i lærerløn 832.000 kr.
Ændring pga. stigning fra 2012 til 2013 -3.000.000 kr.
</t>
        </r>
      </text>
    </comment>
  </commentList>
</comments>
</file>

<file path=xl/comments2.xml><?xml version="1.0" encoding="utf-8"?>
<comments xmlns="http://schemas.openxmlformats.org/spreadsheetml/2006/main">
  <authors>
    <author>J?rn Pedersen</author>
  </authors>
  <commentList>
    <comment ref="C30" authorId="0">
      <text>
        <r>
          <rPr>
            <b/>
            <sz val="9"/>
            <rFont val="Tahoma"/>
            <family val="0"/>
          </rPr>
          <t>Jørn Pedersen:</t>
        </r>
        <r>
          <rPr>
            <sz val="9"/>
            <rFont val="Tahoma"/>
            <family val="0"/>
          </rPr>
          <t xml:space="preserve">
Lærerløn +1,158 mio. kr.
</t>
        </r>
      </text>
    </comment>
    <comment ref="C6" authorId="0">
      <text>
        <r>
          <rPr>
            <b/>
            <sz val="9"/>
            <rFont val="Tahoma"/>
            <family val="0"/>
          </rPr>
          <t>Jørn Pedersen:</t>
        </r>
        <r>
          <rPr>
            <sz val="9"/>
            <rFont val="Tahoma"/>
            <family val="0"/>
          </rPr>
          <t xml:space="preserve">
Se dok. Nr. 92815-13</t>
        </r>
      </text>
    </comment>
    <comment ref="C7" authorId="0">
      <text>
        <r>
          <rPr>
            <b/>
            <sz val="9"/>
            <rFont val="Tahoma"/>
            <family val="0"/>
          </rPr>
          <t>Jørn Pedersen:</t>
        </r>
        <r>
          <rPr>
            <sz val="9"/>
            <rFont val="Tahoma"/>
            <family val="0"/>
          </rPr>
          <t xml:space="preserve">
Se dok. 92815-13</t>
        </r>
      </text>
    </comment>
    <comment ref="C11" authorId="0">
      <text>
        <r>
          <rPr>
            <b/>
            <sz val="9"/>
            <rFont val="Tahoma"/>
            <family val="0"/>
          </rPr>
          <t>Jørn Pedersen:</t>
        </r>
        <r>
          <rPr>
            <sz val="9"/>
            <rFont val="Tahoma"/>
            <family val="0"/>
          </rPr>
          <t xml:space="preserve">
Se dok. nr. 41546-13 og 41577-13 </t>
        </r>
      </text>
    </comment>
    <comment ref="C12" authorId="0">
      <text>
        <r>
          <rPr>
            <b/>
            <sz val="9"/>
            <rFont val="Tahoma"/>
            <family val="0"/>
          </rPr>
          <t>Jørn Pedersen:</t>
        </r>
        <r>
          <rPr>
            <sz val="9"/>
            <rFont val="Tahoma"/>
            <family val="0"/>
          </rPr>
          <t xml:space="preserve">
Se dok. nr. 41548-13 og 41577-13 </t>
        </r>
      </text>
    </comment>
    <comment ref="C13" authorId="0">
      <text>
        <r>
          <rPr>
            <b/>
            <sz val="9"/>
            <rFont val="Tahoma"/>
            <family val="0"/>
          </rPr>
          <t>Jørn Pedersen:</t>
        </r>
        <r>
          <rPr>
            <sz val="9"/>
            <rFont val="Tahoma"/>
            <family val="0"/>
          </rPr>
          <t xml:space="preserve">
Se dok. nr. 41551-13 og 41577-13</t>
        </r>
      </text>
    </comment>
    <comment ref="C14" authorId="0">
      <text>
        <r>
          <rPr>
            <b/>
            <sz val="9"/>
            <rFont val="Tahoma"/>
            <family val="0"/>
          </rPr>
          <t>Jørn Pedersen:</t>
        </r>
        <r>
          <rPr>
            <sz val="9"/>
            <rFont val="Tahoma"/>
            <family val="0"/>
          </rPr>
          <t xml:space="preserve">
Se dok. nr. 41552-13 og 41577-13</t>
        </r>
      </text>
    </comment>
    <comment ref="C15" authorId="0">
      <text>
        <r>
          <rPr>
            <b/>
            <sz val="9"/>
            <rFont val="Tahoma"/>
            <family val="0"/>
          </rPr>
          <t>Jørn Pedersen:</t>
        </r>
        <r>
          <rPr>
            <sz val="9"/>
            <rFont val="Tahoma"/>
            <family val="0"/>
          </rPr>
          <t xml:space="preserve">
Se dok. Nr. 41555-13 og 41577-13</t>
        </r>
      </text>
    </comment>
    <comment ref="D7" authorId="0">
      <text>
        <r>
          <rPr>
            <b/>
            <sz val="9"/>
            <rFont val="Tahoma"/>
            <family val="0"/>
          </rPr>
          <t>Jørn Pedersen:</t>
        </r>
        <r>
          <rPr>
            <sz val="9"/>
            <rFont val="Tahoma"/>
            <family val="0"/>
          </rPr>
          <t xml:space="preserve">
Nedsættelse af anlægsniveau med 2 mia. kr. = 17,7 mio. kr. for VK</t>
        </r>
      </text>
    </comment>
  </commentList>
</comments>
</file>

<file path=xl/sharedStrings.xml><?xml version="1.0" encoding="utf-8"?>
<sst xmlns="http://schemas.openxmlformats.org/spreadsheetml/2006/main" count="96" uniqueCount="57">
  <si>
    <t>Skatter</t>
  </si>
  <si>
    <t>Indtægter ialt</t>
  </si>
  <si>
    <t>Afdrag på lån</t>
  </si>
  <si>
    <t>Beløb i mio. kr.</t>
  </si>
  <si>
    <t>Nettorenter</t>
  </si>
  <si>
    <t>Driftsudgifter (netto) ialt</t>
  </si>
  <si>
    <t>indtægter i h.t. beregning</t>
  </si>
  <si>
    <t>Tidl. politiske beslut-ninger</t>
  </si>
  <si>
    <t>Demo-grafiske ændringer</t>
  </si>
  <si>
    <t>Indtægter:</t>
  </si>
  <si>
    <t>Økonomiudvalget</t>
  </si>
  <si>
    <t>Udvalget for Plan og Teknik</t>
  </si>
  <si>
    <t>Udvalget for Børn og Undervisning</t>
  </si>
  <si>
    <t>Udvalget for Kultur og Fritid</t>
  </si>
  <si>
    <t>Udvalget for Social og Sundhed</t>
  </si>
  <si>
    <t>Udvalget for Arbejdsmarked og Integration</t>
  </si>
  <si>
    <t>Nettodriftsudgifter:</t>
  </si>
  <si>
    <t>Sum ændringer</t>
  </si>
  <si>
    <t>- = indtægter, + = udgifter</t>
  </si>
  <si>
    <t>Driftsresultat       (- = overskud)</t>
  </si>
  <si>
    <t>Lov-
ændringer</t>
  </si>
  <si>
    <t>Ændringer i forud-
sætninger</t>
  </si>
  <si>
    <t>Driftsresultat  (- = overskud)</t>
  </si>
  <si>
    <t>Tilskud, udligning og beskæftigelsestilskud</t>
  </si>
  <si>
    <t>Budget-
overslag
2015</t>
  </si>
  <si>
    <t>Serviceudgifter:</t>
  </si>
  <si>
    <t>Overførselsudgifter:</t>
  </si>
  <si>
    <t>Forsikrede ledige:</t>
  </si>
  <si>
    <t>Den centrale refusionsordning:</t>
  </si>
  <si>
    <t>Budget-
overslag
2016</t>
  </si>
  <si>
    <t>Øvrige ændrigner</t>
  </si>
  <si>
    <t>Serviceudgifter i alt</t>
  </si>
  <si>
    <t>Aktivitetsbestemt medfinansiering</t>
  </si>
  <si>
    <t xml:space="preserve">Ældreboliger </t>
  </si>
  <si>
    <t xml:space="preserve">Overførselsudgifter </t>
  </si>
  <si>
    <t xml:space="preserve">Forsikrede ledige </t>
  </si>
  <si>
    <t xml:space="preserve">Den centrale refusionsordning </t>
  </si>
  <si>
    <t>Nye lån</t>
  </si>
  <si>
    <t>Budget 2013</t>
  </si>
  <si>
    <t>Budget-forslag 2014
pr. 2.7.2013</t>
  </si>
  <si>
    <t xml:space="preserve">Rådighedsbeløb til finansiering af evt. nye driftsudgifter og anlægsudgifter (både tidligere godkendte og nye) 
- = overskud </t>
  </si>
  <si>
    <t>Pulje til frigivelse af bundne bevillinger</t>
  </si>
  <si>
    <t>Budget-forslag 2014</t>
  </si>
  <si>
    <t>Budget-
overslag
2017</t>
  </si>
  <si>
    <t xml:space="preserve">Hovedoversigt for budget 2014 - 2017 </t>
  </si>
  <si>
    <t>Hovedoversigt for budgetåret 2014</t>
  </si>
  <si>
    <t>Flytninger mellem udvalg</t>
  </si>
  <si>
    <t>Ekstra beløb til sundhedsområdet</t>
  </si>
  <si>
    <t>Ekstra beløb vedr. skolereformen</t>
  </si>
  <si>
    <t>Renter og afdrag på energilån</t>
  </si>
  <si>
    <t>Energilån</t>
  </si>
  <si>
    <t>Finansforskydninger</t>
  </si>
  <si>
    <t>Ændringer efter den 2.7.2013</t>
  </si>
  <si>
    <t>Energibesparende anlægsforanstaltninger - er optaget et tilsvarende lånebeløb</t>
  </si>
  <si>
    <t>Budget-forslag 2014
august 2013</t>
  </si>
  <si>
    <t>Tidligere godkendte anlægsudgifter incl. Lykkesgaardskolen</t>
  </si>
  <si>
    <t xml:space="preserve">P/L-fremskrivning jf. KL </t>
  </si>
</sst>
</file>

<file path=xl/styles.xml><?xml version="1.0" encoding="utf-8"?>
<styleSheet xmlns="http://schemas.openxmlformats.org/spreadsheetml/2006/main">
  <numFmts count="2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#,##0.000"/>
    <numFmt numFmtId="179" formatCode="#,##0.0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8" fillId="24" borderId="3" applyNumberFormat="0" applyAlignment="0" applyProtection="0"/>
    <xf numFmtId="0" fontId="1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1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4" fillId="0" borderId="0" xfId="0" applyFont="1" applyAlignment="1">
      <alignment horizontal="centerContinuous" vertical="justify"/>
    </xf>
    <xf numFmtId="179" fontId="4" fillId="0" borderId="0" xfId="0" applyNumberFormat="1" applyFont="1" applyAlignment="1">
      <alignment horizontal="centerContinuous" vertical="justify"/>
    </xf>
    <xf numFmtId="179" fontId="5" fillId="0" borderId="10" xfId="0" applyNumberFormat="1" applyFont="1" applyBorder="1" applyAlignment="1">
      <alignment/>
    </xf>
    <xf numFmtId="179" fontId="5" fillId="0" borderId="11" xfId="0" applyNumberFormat="1" applyFont="1" applyBorder="1" applyAlignment="1">
      <alignment/>
    </xf>
    <xf numFmtId="179" fontId="5" fillId="0" borderId="12" xfId="0" applyNumberFormat="1" applyFont="1" applyBorder="1" applyAlignment="1">
      <alignment/>
    </xf>
    <xf numFmtId="0" fontId="6" fillId="0" borderId="13" xfId="0" applyFont="1" applyBorder="1" applyAlignment="1">
      <alignment vertical="center"/>
    </xf>
    <xf numFmtId="179" fontId="6" fillId="0" borderId="14" xfId="0" applyNumberFormat="1" applyFont="1" applyBorder="1" applyAlignment="1">
      <alignment vertical="center"/>
    </xf>
    <xf numFmtId="179" fontId="6" fillId="0" borderId="13" xfId="0" applyNumberFormat="1" applyFont="1" applyBorder="1" applyAlignment="1">
      <alignment vertical="center"/>
    </xf>
    <xf numFmtId="179" fontId="6" fillId="0" borderId="15" xfId="0" applyNumberFormat="1" applyFont="1" applyBorder="1" applyAlignment="1">
      <alignment vertical="center"/>
    </xf>
    <xf numFmtId="0" fontId="5" fillId="0" borderId="11" xfId="0" applyFont="1" applyBorder="1" applyAlignment="1">
      <alignment wrapText="1"/>
    </xf>
    <xf numFmtId="179" fontId="6" fillId="0" borderId="16" xfId="0" applyNumberFormat="1" applyFont="1" applyBorder="1" applyAlignment="1">
      <alignment vertic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179" fontId="5" fillId="0" borderId="11" xfId="0" applyNumberFormat="1" applyFont="1" applyBorder="1" applyAlignment="1">
      <alignment horizontal="right"/>
    </xf>
    <xf numFmtId="179" fontId="5" fillId="33" borderId="10" xfId="0" applyNumberFormat="1" applyFont="1" applyFill="1" applyBorder="1" applyAlignment="1">
      <alignment/>
    </xf>
    <xf numFmtId="179" fontId="5" fillId="0" borderId="12" xfId="0" applyNumberFormat="1" applyFont="1" applyBorder="1" applyAlignment="1">
      <alignment horizontal="center"/>
    </xf>
    <xf numFmtId="179" fontId="6" fillId="0" borderId="10" xfId="0" applyNumberFormat="1" applyFont="1" applyBorder="1" applyAlignment="1" quotePrefix="1">
      <alignment/>
    </xf>
    <xf numFmtId="179" fontId="5" fillId="33" borderId="10" xfId="0" applyNumberFormat="1" applyFont="1" applyFill="1" applyBorder="1" applyAlignment="1">
      <alignment horizontal="centerContinuous"/>
    </xf>
    <xf numFmtId="179" fontId="5" fillId="33" borderId="11" xfId="0" applyNumberFormat="1" applyFont="1" applyFill="1" applyBorder="1" applyAlignment="1">
      <alignment horizontal="centerContinuous"/>
    </xf>
    <xf numFmtId="179" fontId="5" fillId="0" borderId="17" xfId="0" applyNumberFormat="1" applyFont="1" applyBorder="1" applyAlignment="1">
      <alignment/>
    </xf>
    <xf numFmtId="179" fontId="5" fillId="0" borderId="18" xfId="0" applyNumberFormat="1" applyFont="1" applyBorder="1" applyAlignment="1">
      <alignment/>
    </xf>
    <xf numFmtId="179" fontId="5" fillId="33" borderId="17" xfId="0" applyNumberFormat="1" applyFont="1" applyFill="1" applyBorder="1" applyAlignment="1">
      <alignment/>
    </xf>
    <xf numFmtId="179" fontId="5" fillId="33" borderId="18" xfId="0" applyNumberFormat="1" applyFont="1" applyFill="1" applyBorder="1" applyAlignment="1">
      <alignment horizontal="centerContinuous"/>
    </xf>
    <xf numFmtId="179" fontId="5" fillId="33" borderId="17" xfId="0" applyNumberFormat="1" applyFont="1" applyFill="1" applyBorder="1" applyAlignment="1">
      <alignment horizontal="centerContinuous"/>
    </xf>
    <xf numFmtId="179" fontId="7" fillId="0" borderId="0" xfId="0" applyNumberFormat="1" applyFont="1" applyAlignment="1">
      <alignment/>
    </xf>
    <xf numFmtId="179" fontId="5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wrapText="1" indent="1"/>
    </xf>
    <xf numFmtId="0" fontId="5" fillId="0" borderId="18" xfId="0" applyFont="1" applyBorder="1" applyAlignment="1">
      <alignment horizontal="left" wrapText="1" indent="1"/>
    </xf>
    <xf numFmtId="0" fontId="6" fillId="0" borderId="18" xfId="0" applyFont="1" applyBorder="1" applyAlignment="1">
      <alignment horizontal="left" wrapText="1"/>
    </xf>
    <xf numFmtId="0" fontId="5" fillId="0" borderId="19" xfId="0" applyFont="1" applyBorder="1" applyAlignment="1">
      <alignment wrapText="1"/>
    </xf>
    <xf numFmtId="179" fontId="5" fillId="0" borderId="19" xfId="0" applyNumberFormat="1" applyFont="1" applyBorder="1" applyAlignment="1">
      <alignment/>
    </xf>
    <xf numFmtId="179" fontId="5" fillId="0" borderId="20" xfId="0" applyNumberFormat="1" applyFont="1" applyBorder="1" applyAlignment="1">
      <alignment/>
    </xf>
    <xf numFmtId="0" fontId="9" fillId="0" borderId="11" xfId="0" applyFont="1" applyBorder="1" applyAlignment="1">
      <alignment/>
    </xf>
    <xf numFmtId="179" fontId="9" fillId="0" borderId="10" xfId="0" applyNumberFormat="1" applyFont="1" applyBorder="1" applyAlignment="1" quotePrefix="1">
      <alignment/>
    </xf>
    <xf numFmtId="179" fontId="8" fillId="0" borderId="10" xfId="0" applyNumberFormat="1" applyFont="1" applyBorder="1" applyAlignment="1">
      <alignment/>
    </xf>
    <xf numFmtId="179" fontId="8" fillId="0" borderId="11" xfId="0" applyNumberFormat="1" applyFont="1" applyBorder="1" applyAlignment="1">
      <alignment/>
    </xf>
    <xf numFmtId="179" fontId="9" fillId="0" borderId="10" xfId="0" applyNumberFormat="1" applyFont="1" applyBorder="1" applyAlignment="1">
      <alignment/>
    </xf>
    <xf numFmtId="179" fontId="8" fillId="0" borderId="10" xfId="0" applyNumberFormat="1" applyFont="1" applyBorder="1" applyAlignment="1">
      <alignment horizontal="centerContinuous"/>
    </xf>
    <xf numFmtId="179" fontId="8" fillId="0" borderId="11" xfId="0" applyNumberFormat="1" applyFont="1" applyBorder="1" applyAlignment="1">
      <alignment horizontal="centerContinuous"/>
    </xf>
    <xf numFmtId="179" fontId="6" fillId="0" borderId="17" xfId="0" applyNumberFormat="1" applyFont="1" applyBorder="1" applyAlignment="1">
      <alignment/>
    </xf>
    <xf numFmtId="179" fontId="6" fillId="0" borderId="18" xfId="0" applyNumberFormat="1" applyFont="1" applyBorder="1" applyAlignment="1">
      <alignment/>
    </xf>
    <xf numFmtId="0" fontId="6" fillId="0" borderId="13" xfId="0" applyFont="1" applyBorder="1" applyAlignment="1">
      <alignment wrapText="1"/>
    </xf>
    <xf numFmtId="179" fontId="5" fillId="0" borderId="13" xfId="0" applyNumberFormat="1" applyFont="1" applyBorder="1" applyAlignment="1">
      <alignment/>
    </xf>
    <xf numFmtId="0" fontId="9" fillId="0" borderId="21" xfId="0" applyFont="1" applyBorder="1" applyAlignment="1">
      <alignment horizontal="left" wrapText="1"/>
    </xf>
    <xf numFmtId="0" fontId="5" fillId="0" borderId="19" xfId="0" applyFont="1" applyBorder="1" applyAlignment="1">
      <alignment/>
    </xf>
    <xf numFmtId="0" fontId="5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3" xfId="0" applyFont="1" applyBorder="1" applyAlignment="1">
      <alignment vertical="center"/>
    </xf>
    <xf numFmtId="179" fontId="6" fillId="0" borderId="22" xfId="0" applyNumberFormat="1" applyFont="1" applyBorder="1" applyAlignment="1">
      <alignment/>
    </xf>
    <xf numFmtId="179" fontId="5" fillId="0" borderId="22" xfId="0" applyNumberFormat="1" applyFont="1" applyBorder="1" applyAlignment="1">
      <alignment/>
    </xf>
    <xf numFmtId="179" fontId="6" fillId="0" borderId="10" xfId="0" applyNumberFormat="1" applyFont="1" applyBorder="1" applyAlignment="1">
      <alignment/>
    </xf>
    <xf numFmtId="179" fontId="10" fillId="0" borderId="14" xfId="0" applyNumberFormat="1" applyFont="1" applyBorder="1" applyAlignment="1">
      <alignment vertical="center"/>
    </xf>
    <xf numFmtId="179" fontId="10" fillId="0" borderId="13" xfId="0" applyNumberFormat="1" applyFont="1" applyBorder="1" applyAlignment="1">
      <alignment vertical="center"/>
    </xf>
    <xf numFmtId="179" fontId="6" fillId="0" borderId="17" xfId="0" applyNumberFormat="1" applyFont="1" applyBorder="1" applyAlignment="1">
      <alignment/>
    </xf>
    <xf numFmtId="179" fontId="6" fillId="0" borderId="18" xfId="0" applyNumberFormat="1" applyFont="1" applyBorder="1" applyAlignment="1">
      <alignment/>
    </xf>
    <xf numFmtId="0" fontId="6" fillId="0" borderId="18" xfId="0" applyFont="1" applyBorder="1" applyAlignment="1">
      <alignment horizontal="right" wrapText="1"/>
    </xf>
    <xf numFmtId="0" fontId="5" fillId="0" borderId="18" xfId="0" applyFont="1" applyBorder="1" applyAlignment="1">
      <alignment horizontal="right" wrapText="1"/>
    </xf>
    <xf numFmtId="179" fontId="6" fillId="0" borderId="10" xfId="0" applyNumberFormat="1" applyFont="1" applyBorder="1" applyAlignment="1">
      <alignment vertical="center"/>
    </xf>
    <xf numFmtId="179" fontId="6" fillId="0" borderId="23" xfId="0" applyNumberFormat="1" applyFont="1" applyBorder="1" applyAlignment="1">
      <alignment vertical="center"/>
    </xf>
    <xf numFmtId="179" fontId="6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79" fontId="6" fillId="0" borderId="24" xfId="0" applyNumberFormat="1" applyFont="1" applyBorder="1" applyAlignment="1">
      <alignment horizontal="right" wrapText="1"/>
    </xf>
    <xf numFmtId="179" fontId="6" fillId="0" borderId="13" xfId="0" applyNumberFormat="1" applyFont="1" applyBorder="1" applyAlignment="1">
      <alignment horizontal="right" wrapText="1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/>
    </xf>
    <xf numFmtId="0" fontId="10" fillId="0" borderId="24" xfId="0" applyFont="1" applyBorder="1" applyAlignment="1">
      <alignment horizontal="left" wrapText="1"/>
    </xf>
    <xf numFmtId="179" fontId="5" fillId="34" borderId="25" xfId="0" applyNumberFormat="1" applyFont="1" applyFill="1" applyBorder="1" applyAlignment="1">
      <alignment horizontal="center" vertical="center" wrapText="1"/>
    </xf>
    <xf numFmtId="179" fontId="5" fillId="34" borderId="23" xfId="0" applyNumberFormat="1" applyFont="1" applyFill="1" applyBorder="1" applyAlignment="1">
      <alignment horizontal="center" vertical="center" wrapText="1"/>
    </xf>
    <xf numFmtId="179" fontId="5" fillId="33" borderId="22" xfId="0" applyNumberFormat="1" applyFont="1" applyFill="1" applyBorder="1" applyAlignment="1">
      <alignment horizontal="centerContinuous"/>
    </xf>
    <xf numFmtId="179" fontId="5" fillId="0" borderId="11" xfId="0" applyNumberFormat="1" applyFont="1" applyBorder="1" applyAlignment="1">
      <alignment horizontal="center"/>
    </xf>
    <xf numFmtId="0" fontId="5" fillId="0" borderId="18" xfId="0" applyFont="1" applyBorder="1" applyAlignment="1">
      <alignment horizontal="left" wrapText="1" indent="1"/>
    </xf>
    <xf numFmtId="0" fontId="10" fillId="0" borderId="24" xfId="0" applyFont="1" applyBorder="1" applyAlignment="1">
      <alignment horizontal="left" wrapText="1"/>
    </xf>
    <xf numFmtId="0" fontId="6" fillId="0" borderId="25" xfId="0" applyFont="1" applyBorder="1" applyAlignment="1">
      <alignment wrapText="1"/>
    </xf>
    <xf numFmtId="179" fontId="5" fillId="0" borderId="22" xfId="0" applyNumberFormat="1" applyFont="1" applyFill="1" applyBorder="1" applyAlignment="1">
      <alignment horizontal="right"/>
    </xf>
    <xf numFmtId="179" fontId="5" fillId="0" borderId="10" xfId="0" applyNumberFormat="1" applyFont="1" applyFill="1" applyBorder="1" applyAlignment="1">
      <alignment horizontal="right"/>
    </xf>
    <xf numFmtId="179" fontId="6" fillId="0" borderId="13" xfId="0" applyNumberFormat="1" applyFont="1" applyBorder="1" applyAlignment="1">
      <alignment horizontal="right" vertical="center"/>
    </xf>
    <xf numFmtId="179" fontId="5" fillId="0" borderId="12" xfId="0" applyNumberFormat="1" applyFont="1" applyBorder="1" applyAlignment="1">
      <alignment horizontal="right"/>
    </xf>
    <xf numFmtId="179" fontId="5" fillId="0" borderId="11" xfId="0" applyNumberFormat="1" applyFont="1" applyBorder="1" applyAlignment="1">
      <alignment horizontal="right"/>
    </xf>
    <xf numFmtId="179" fontId="5" fillId="0" borderId="10" xfId="0" applyNumberFormat="1" applyFont="1" applyBorder="1" applyAlignment="1">
      <alignment horizontal="right"/>
    </xf>
    <xf numFmtId="179" fontId="5" fillId="0" borderId="17" xfId="0" applyNumberFormat="1" applyFont="1" applyBorder="1" applyAlignment="1">
      <alignment horizontal="right"/>
    </xf>
    <xf numFmtId="179" fontId="5" fillId="0" borderId="12" xfId="0" applyNumberFormat="1" applyFont="1" applyBorder="1" applyAlignment="1">
      <alignment horizontal="right"/>
    </xf>
    <xf numFmtId="179" fontId="5" fillId="0" borderId="13" xfId="0" applyNumberFormat="1" applyFont="1" applyBorder="1" applyAlignment="1">
      <alignment horizontal="right"/>
    </xf>
    <xf numFmtId="179" fontId="5" fillId="0" borderId="25" xfId="0" applyNumberFormat="1" applyFont="1" applyBorder="1" applyAlignment="1">
      <alignment horizontal="right"/>
    </xf>
    <xf numFmtId="0" fontId="10" fillId="0" borderId="13" xfId="0" applyFont="1" applyBorder="1" applyAlignment="1">
      <alignment horizontal="left" wrapText="1"/>
    </xf>
    <xf numFmtId="179" fontId="5" fillId="0" borderId="22" xfId="0" applyNumberFormat="1" applyFont="1" applyBorder="1" applyAlignment="1">
      <alignment horizontal="right"/>
    </xf>
    <xf numFmtId="179" fontId="5" fillId="0" borderId="19" xfId="0" applyNumberFormat="1" applyFont="1" applyBorder="1" applyAlignment="1">
      <alignment horizontal="right"/>
    </xf>
    <xf numFmtId="179" fontId="7" fillId="0" borderId="13" xfId="0" applyNumberFormat="1" applyFont="1" applyBorder="1" applyAlignment="1">
      <alignment/>
    </xf>
    <xf numFmtId="0" fontId="10" fillId="0" borderId="13" xfId="0" applyFont="1" applyBorder="1" applyAlignment="1">
      <alignment vertical="center" wrapText="1"/>
    </xf>
    <xf numFmtId="179" fontId="48" fillId="0" borderId="13" xfId="0" applyNumberFormat="1" applyFont="1" applyBorder="1" applyAlignment="1">
      <alignment horizontal="right"/>
    </xf>
    <xf numFmtId="179" fontId="48" fillId="0" borderId="13" xfId="0" applyNumberFormat="1" applyFont="1" applyBorder="1" applyAlignment="1">
      <alignment/>
    </xf>
    <xf numFmtId="0" fontId="10" fillId="0" borderId="25" xfId="0" applyFont="1" applyBorder="1" applyAlignment="1">
      <alignment vertical="center" wrapText="1"/>
    </xf>
    <xf numFmtId="179" fontId="5" fillId="34" borderId="25" xfId="0" applyNumberFormat="1" applyFont="1" applyFill="1" applyBorder="1" applyAlignment="1">
      <alignment horizontal="center" vertical="center" wrapText="1"/>
    </xf>
    <xf numFmtId="179" fontId="5" fillId="34" borderId="23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34" borderId="25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9" fillId="0" borderId="26" xfId="0" applyFont="1" applyBorder="1" applyAlignment="1">
      <alignment horizontal="center" vertical="center"/>
    </xf>
    <xf numFmtId="0" fontId="8" fillId="34" borderId="25" xfId="0" applyNumberFormat="1" applyFont="1" applyFill="1" applyBorder="1" applyAlignment="1">
      <alignment horizontal="center" vertical="center" wrapText="1"/>
    </xf>
    <xf numFmtId="0" fontId="8" fillId="34" borderId="23" xfId="0" applyNumberFormat="1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179" fontId="9" fillId="34" borderId="25" xfId="0" applyNumberFormat="1" applyFont="1" applyFill="1" applyBorder="1" applyAlignment="1">
      <alignment horizontal="center" vertical="center" wrapText="1"/>
    </xf>
    <xf numFmtId="179" fontId="9" fillId="34" borderId="2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pane xSplit="2" ySplit="3" topLeftCell="J2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1" sqref="A31"/>
    </sheetView>
  </sheetViews>
  <sheetFormatPr defaultColWidth="9.140625" defaultRowHeight="12.75"/>
  <cols>
    <col min="1" max="1" width="42.421875" style="0" customWidth="1"/>
    <col min="2" max="2" width="11.28125" style="1" customWidth="1"/>
    <col min="3" max="5" width="11.28125" style="1" hidden="1" customWidth="1"/>
    <col min="6" max="6" width="10.7109375" style="1" hidden="1" customWidth="1"/>
    <col min="7" max="7" width="11.28125" style="1" hidden="1" customWidth="1"/>
    <col min="8" max="9" width="10.7109375" style="1" hidden="1" customWidth="1"/>
    <col min="10" max="10" width="11.421875" style="1" customWidth="1"/>
    <col min="11" max="12" width="10.7109375" style="1" customWidth="1"/>
    <col min="13" max="13" width="11.421875" style="1" customWidth="1"/>
  </cols>
  <sheetData>
    <row r="1" spans="1:13" ht="21" customHeight="1">
      <c r="A1" s="2" t="s">
        <v>45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" customHeight="1">
      <c r="A2" s="96" t="s">
        <v>3</v>
      </c>
      <c r="B2" s="93" t="s">
        <v>38</v>
      </c>
      <c r="C2" s="93" t="s">
        <v>8</v>
      </c>
      <c r="D2" s="93" t="s">
        <v>21</v>
      </c>
      <c r="E2" s="93" t="s">
        <v>20</v>
      </c>
      <c r="F2" s="93" t="s">
        <v>7</v>
      </c>
      <c r="G2" s="93" t="s">
        <v>30</v>
      </c>
      <c r="H2" s="93" t="s">
        <v>17</v>
      </c>
      <c r="I2" s="68"/>
      <c r="J2" s="93" t="s">
        <v>39</v>
      </c>
      <c r="K2" s="68"/>
      <c r="L2" s="68"/>
      <c r="M2" s="93" t="s">
        <v>54</v>
      </c>
    </row>
    <row r="3" spans="1:13" ht="75.75" customHeight="1">
      <c r="A3" s="97"/>
      <c r="B3" s="94"/>
      <c r="C3" s="94"/>
      <c r="D3" s="95"/>
      <c r="E3" s="95"/>
      <c r="F3" s="95"/>
      <c r="G3" s="95"/>
      <c r="H3" s="94"/>
      <c r="I3" s="69" t="s">
        <v>46</v>
      </c>
      <c r="J3" s="94"/>
      <c r="K3" s="69" t="s">
        <v>52</v>
      </c>
      <c r="L3" s="69" t="s">
        <v>46</v>
      </c>
      <c r="M3" s="94"/>
    </row>
    <row r="4" spans="1:13" ht="18" customHeight="1">
      <c r="A4" s="13"/>
      <c r="B4" s="18" t="s">
        <v>18</v>
      </c>
      <c r="C4" s="4"/>
      <c r="D4" s="4"/>
      <c r="E4" s="4"/>
      <c r="F4" s="4"/>
      <c r="G4" s="4"/>
      <c r="H4" s="6"/>
      <c r="I4" s="6"/>
      <c r="J4" s="15"/>
      <c r="K4" s="6"/>
      <c r="L4" s="6"/>
      <c r="M4" s="15"/>
    </row>
    <row r="5" spans="1:13" ht="18" customHeight="1">
      <c r="A5" s="13" t="s">
        <v>9</v>
      </c>
      <c r="B5" s="4"/>
      <c r="C5" s="4"/>
      <c r="D5" s="4"/>
      <c r="E5" s="4"/>
      <c r="F5" s="4"/>
      <c r="G5" s="4"/>
      <c r="H5" s="4"/>
      <c r="I5" s="4"/>
      <c r="J5" s="5"/>
      <c r="K5" s="4"/>
      <c r="L5" s="4"/>
      <c r="M5" s="5"/>
    </row>
    <row r="6" spans="1:13" ht="17.25" customHeight="1">
      <c r="A6" s="31" t="s">
        <v>0</v>
      </c>
      <c r="B6" s="32">
        <v>-2068.5</v>
      </c>
      <c r="C6" s="23"/>
      <c r="D6" s="23"/>
      <c r="E6" s="23"/>
      <c r="F6" s="23"/>
      <c r="G6" s="24" t="s">
        <v>6</v>
      </c>
      <c r="H6" s="25"/>
      <c r="I6" s="70"/>
      <c r="J6" s="32">
        <v>-2120.8</v>
      </c>
      <c r="K6" s="75">
        <v>0</v>
      </c>
      <c r="L6" s="75">
        <v>0</v>
      </c>
      <c r="M6" s="32">
        <f>J6+K6+L6</f>
        <v>-2120.8</v>
      </c>
    </row>
    <row r="7" spans="1:13" ht="17.25" customHeight="1">
      <c r="A7" s="11" t="s">
        <v>23</v>
      </c>
      <c r="B7" s="4">
        <v>-805.8</v>
      </c>
      <c r="C7" s="16"/>
      <c r="D7" s="16"/>
      <c r="E7" s="16"/>
      <c r="F7" s="16"/>
      <c r="G7" s="20" t="s">
        <v>6</v>
      </c>
      <c r="H7" s="19"/>
      <c r="I7" s="19"/>
      <c r="J7" s="33">
        <v>-795.2</v>
      </c>
      <c r="K7" s="76">
        <v>0</v>
      </c>
      <c r="L7" s="76">
        <v>0</v>
      </c>
      <c r="M7" s="32">
        <f>J7+K7+L7</f>
        <v>-795.2</v>
      </c>
    </row>
    <row r="8" spans="1:13" ht="21" customHeight="1">
      <c r="A8" s="7" t="s">
        <v>1</v>
      </c>
      <c r="B8" s="9">
        <f>SUM(B6:B7)</f>
        <v>-2874.3</v>
      </c>
      <c r="C8" s="10"/>
      <c r="D8" s="12"/>
      <c r="E8" s="9"/>
      <c r="F8" s="8"/>
      <c r="G8" s="9"/>
      <c r="H8" s="9"/>
      <c r="I8" s="9"/>
      <c r="J8" s="9">
        <f>SUM(J6:J7)</f>
        <v>-2916</v>
      </c>
      <c r="K8" s="9">
        <f>SUM(K6:K7)</f>
        <v>0</v>
      </c>
      <c r="L8" s="9">
        <v>0</v>
      </c>
      <c r="M8" s="77">
        <f>J8+K8+L8</f>
        <v>-2916</v>
      </c>
    </row>
    <row r="9" spans="1:13" ht="17.25" customHeight="1">
      <c r="A9" s="14" t="s">
        <v>16</v>
      </c>
      <c r="B9" s="4"/>
      <c r="C9" s="5"/>
      <c r="D9" s="5"/>
      <c r="E9" s="5"/>
      <c r="F9" s="5"/>
      <c r="G9" s="5"/>
      <c r="H9" s="17"/>
      <c r="I9" s="17"/>
      <c r="J9" s="5"/>
      <c r="K9" s="78"/>
      <c r="L9" s="78"/>
      <c r="M9" s="78"/>
    </row>
    <row r="10" spans="1:13" ht="17.25" customHeight="1">
      <c r="A10" s="14" t="s">
        <v>25</v>
      </c>
      <c r="B10" s="4"/>
      <c r="C10" s="4"/>
      <c r="D10" s="4"/>
      <c r="E10" s="4"/>
      <c r="F10" s="4"/>
      <c r="G10" s="5"/>
      <c r="H10" s="27"/>
      <c r="I10" s="71"/>
      <c r="J10" s="5"/>
      <c r="K10" s="79"/>
      <c r="L10" s="79"/>
      <c r="M10" s="79"/>
    </row>
    <row r="11" spans="1:13" ht="17.25" customHeight="1">
      <c r="A11" s="28" t="s">
        <v>10</v>
      </c>
      <c r="B11" s="4">
        <v>366</v>
      </c>
      <c r="C11" s="4">
        <v>0</v>
      </c>
      <c r="D11" s="4">
        <v>0</v>
      </c>
      <c r="E11" s="4">
        <v>0.4</v>
      </c>
      <c r="F11" s="4">
        <v>-8.4</v>
      </c>
      <c r="G11" s="4">
        <v>-2</v>
      </c>
      <c r="H11" s="4">
        <f aca="true" t="shared" si="0" ref="H11:H29">SUM(C11:G11)</f>
        <v>-10</v>
      </c>
      <c r="I11" s="4"/>
      <c r="J11" s="32">
        <f>SUM(B11+H11+I11)</f>
        <v>356</v>
      </c>
      <c r="K11" s="80">
        <v>3.4</v>
      </c>
      <c r="L11" s="87">
        <v>1.7</v>
      </c>
      <c r="M11" s="32">
        <f>J11+K11+L11</f>
        <v>361.09999999999997</v>
      </c>
    </row>
    <row r="12" spans="1:13" ht="17.25" customHeight="1">
      <c r="A12" s="29" t="s">
        <v>11</v>
      </c>
      <c r="B12" s="21">
        <v>99.1</v>
      </c>
      <c r="C12" s="21">
        <v>0</v>
      </c>
      <c r="D12" s="21">
        <v>0</v>
      </c>
      <c r="E12" s="21">
        <v>0</v>
      </c>
      <c r="F12" s="21">
        <v>0</v>
      </c>
      <c r="G12" s="21">
        <v>9.8</v>
      </c>
      <c r="H12" s="21">
        <f t="shared" si="0"/>
        <v>9.8</v>
      </c>
      <c r="I12" s="21"/>
      <c r="J12" s="22">
        <f aca="true" t="shared" si="1" ref="J12:J17">SUM(B12+H12+I12)</f>
        <v>108.89999999999999</v>
      </c>
      <c r="K12" s="81">
        <v>0</v>
      </c>
      <c r="L12" s="86">
        <v>-0.1</v>
      </c>
      <c r="M12" s="32">
        <f aca="true" t="shared" si="2" ref="M12:M30">J12+K12+L12</f>
        <v>108.8</v>
      </c>
    </row>
    <row r="13" spans="1:13" ht="17.25" customHeight="1">
      <c r="A13" s="29" t="s">
        <v>12</v>
      </c>
      <c r="B13" s="21">
        <v>846.7</v>
      </c>
      <c r="C13" s="21">
        <v>-12.2</v>
      </c>
      <c r="D13" s="21">
        <v>2.6</v>
      </c>
      <c r="E13" s="21">
        <v>0</v>
      </c>
      <c r="F13" s="21">
        <v>-0.5</v>
      </c>
      <c r="G13" s="21">
        <v>-6.7</v>
      </c>
      <c r="H13" s="21">
        <f t="shared" si="0"/>
        <v>-16.8</v>
      </c>
      <c r="I13" s="21"/>
      <c r="J13" s="22">
        <f t="shared" si="1"/>
        <v>829.9000000000001</v>
      </c>
      <c r="K13" s="81">
        <v>0</v>
      </c>
      <c r="L13" s="86">
        <v>-1.6</v>
      </c>
      <c r="M13" s="32">
        <f t="shared" si="2"/>
        <v>828.3000000000001</v>
      </c>
    </row>
    <row r="14" spans="1:13" ht="17.25" customHeight="1">
      <c r="A14" s="29" t="s">
        <v>13</v>
      </c>
      <c r="B14" s="21">
        <v>74.3</v>
      </c>
      <c r="C14" s="21">
        <v>0</v>
      </c>
      <c r="D14" s="21">
        <v>0</v>
      </c>
      <c r="E14" s="21">
        <v>0</v>
      </c>
      <c r="F14" s="21">
        <v>0</v>
      </c>
      <c r="G14" s="21">
        <v>-0.2</v>
      </c>
      <c r="H14" s="21">
        <f t="shared" si="0"/>
        <v>-0.2</v>
      </c>
      <c r="I14" s="21"/>
      <c r="J14" s="22">
        <f t="shared" si="1"/>
        <v>74.1</v>
      </c>
      <c r="K14" s="81">
        <v>0</v>
      </c>
      <c r="L14" s="86">
        <v>0</v>
      </c>
      <c r="M14" s="32">
        <f t="shared" si="2"/>
        <v>74.1</v>
      </c>
    </row>
    <row r="15" spans="1:13" ht="17.25" customHeight="1">
      <c r="A15" s="29" t="s">
        <v>14</v>
      </c>
      <c r="B15" s="21">
        <v>625.3</v>
      </c>
      <c r="C15" s="21">
        <v>0.5</v>
      </c>
      <c r="D15" s="21">
        <v>-3.5</v>
      </c>
      <c r="E15" s="21">
        <v>-6.5</v>
      </c>
      <c r="F15" s="21">
        <v>0</v>
      </c>
      <c r="G15" s="21">
        <v>-6.5</v>
      </c>
      <c r="H15" s="21">
        <f t="shared" si="0"/>
        <v>-16</v>
      </c>
      <c r="I15" s="21"/>
      <c r="J15" s="22">
        <v>612.3</v>
      </c>
      <c r="K15" s="81">
        <v>0</v>
      </c>
      <c r="L15" s="86">
        <v>0</v>
      </c>
      <c r="M15" s="32">
        <f t="shared" si="2"/>
        <v>612.3</v>
      </c>
    </row>
    <row r="16" spans="1:13" ht="17.25" customHeight="1">
      <c r="A16" s="29" t="s">
        <v>15</v>
      </c>
      <c r="B16" s="21">
        <v>7.2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f t="shared" si="0"/>
        <v>0</v>
      </c>
      <c r="I16" s="21"/>
      <c r="J16" s="22">
        <f t="shared" si="1"/>
        <v>7.2</v>
      </c>
      <c r="K16" s="81">
        <v>0</v>
      </c>
      <c r="L16" s="86">
        <v>0</v>
      </c>
      <c r="M16" s="32">
        <f t="shared" si="2"/>
        <v>7.2</v>
      </c>
    </row>
    <row r="17" spans="1:13" ht="17.25" customHeight="1">
      <c r="A17" s="29" t="s">
        <v>41</v>
      </c>
      <c r="B17" s="21">
        <v>20</v>
      </c>
      <c r="C17" s="21">
        <v>0</v>
      </c>
      <c r="D17" s="21">
        <v>0</v>
      </c>
      <c r="E17" s="21">
        <v>0</v>
      </c>
      <c r="F17" s="21">
        <v>0</v>
      </c>
      <c r="G17" s="21">
        <v>-20</v>
      </c>
      <c r="H17" s="21">
        <v>-20</v>
      </c>
      <c r="I17" s="21"/>
      <c r="J17" s="22">
        <f t="shared" si="1"/>
        <v>0</v>
      </c>
      <c r="K17" s="81">
        <v>0</v>
      </c>
      <c r="L17" s="86">
        <v>0</v>
      </c>
      <c r="M17" s="32">
        <f t="shared" si="2"/>
        <v>0</v>
      </c>
    </row>
    <row r="18" spans="1:13" ht="17.25" customHeight="1">
      <c r="A18" s="72" t="s">
        <v>47</v>
      </c>
      <c r="B18" s="21"/>
      <c r="C18" s="21"/>
      <c r="D18" s="21"/>
      <c r="E18" s="21"/>
      <c r="F18" s="21"/>
      <c r="G18" s="21">
        <v>2.7</v>
      </c>
      <c r="H18" s="21">
        <v>2.7</v>
      </c>
      <c r="I18" s="21"/>
      <c r="J18" s="22">
        <v>2.7</v>
      </c>
      <c r="K18" s="81">
        <v>0</v>
      </c>
      <c r="L18" s="86">
        <v>0</v>
      </c>
      <c r="M18" s="32">
        <f t="shared" si="2"/>
        <v>2.7</v>
      </c>
    </row>
    <row r="19" spans="1:13" ht="17.25" customHeight="1">
      <c r="A19" s="72" t="s">
        <v>48</v>
      </c>
      <c r="B19" s="21"/>
      <c r="C19" s="21"/>
      <c r="D19" s="21"/>
      <c r="E19" s="21"/>
      <c r="F19" s="21"/>
      <c r="G19" s="21">
        <v>1.8</v>
      </c>
      <c r="H19" s="21">
        <v>1.8</v>
      </c>
      <c r="I19" s="21"/>
      <c r="J19" s="22">
        <v>1.8</v>
      </c>
      <c r="K19" s="81">
        <v>0</v>
      </c>
      <c r="L19" s="86">
        <v>0</v>
      </c>
      <c r="M19" s="32">
        <f t="shared" si="2"/>
        <v>1.8</v>
      </c>
    </row>
    <row r="20" spans="1:13" ht="17.25" customHeight="1">
      <c r="A20" s="30" t="s">
        <v>31</v>
      </c>
      <c r="B20" s="41">
        <f>SUM(B11:B17)</f>
        <v>2038.6000000000001</v>
      </c>
      <c r="C20" s="41">
        <f>SUM(C11:C17)</f>
        <v>-11.7</v>
      </c>
      <c r="D20" s="41">
        <f>SUM(D11:D17)</f>
        <v>-0.8999999999999999</v>
      </c>
      <c r="E20" s="41">
        <f>SUM(E11:E17)</f>
        <v>-6.1</v>
      </c>
      <c r="F20" s="41">
        <f>SUM(F11:F17)</f>
        <v>-8.9</v>
      </c>
      <c r="G20" s="41">
        <f>SUM(G11:G19)</f>
        <v>-21.1</v>
      </c>
      <c r="H20" s="41">
        <f>SUM(H11:H19)</f>
        <v>-48.7</v>
      </c>
      <c r="I20" s="41"/>
      <c r="J20" s="42">
        <f>SUM(J11:J19)</f>
        <v>1992.9</v>
      </c>
      <c r="K20" s="42">
        <f>SUM(K11:K19)</f>
        <v>3.4</v>
      </c>
      <c r="L20" s="42">
        <f>SUM(L11:L19)</f>
        <v>-2.220446049250313E-16</v>
      </c>
      <c r="M20" s="32">
        <f t="shared" si="2"/>
        <v>1996.3000000000002</v>
      </c>
    </row>
    <row r="21" spans="1:13" ht="17.25" customHeight="1">
      <c r="A21" s="30" t="s">
        <v>32</v>
      </c>
      <c r="B21" s="21">
        <v>168.3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f t="shared" si="0"/>
        <v>0</v>
      </c>
      <c r="I21" s="21"/>
      <c r="J21" s="22">
        <f>SUM(B21+H21+I21)</f>
        <v>168.3</v>
      </c>
      <c r="K21" s="81">
        <v>-2.8</v>
      </c>
      <c r="L21" s="86">
        <v>0</v>
      </c>
      <c r="M21" s="32">
        <f t="shared" si="2"/>
        <v>165.5</v>
      </c>
    </row>
    <row r="22" spans="1:13" ht="17.25" customHeight="1">
      <c r="A22" s="30" t="s">
        <v>33</v>
      </c>
      <c r="B22" s="21">
        <v>-10.5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f t="shared" si="0"/>
        <v>0</v>
      </c>
      <c r="I22" s="21"/>
      <c r="J22" s="22">
        <v>-12.1</v>
      </c>
      <c r="K22" s="81">
        <v>0</v>
      </c>
      <c r="L22" s="86">
        <v>0</v>
      </c>
      <c r="M22" s="32">
        <f t="shared" si="2"/>
        <v>-12.1</v>
      </c>
    </row>
    <row r="23" spans="1:13" ht="17.25" customHeight="1">
      <c r="A23" s="30" t="s">
        <v>34</v>
      </c>
      <c r="B23" s="21"/>
      <c r="C23" s="21"/>
      <c r="D23" s="21"/>
      <c r="E23" s="21"/>
      <c r="F23" s="21"/>
      <c r="G23" s="21"/>
      <c r="H23" s="21"/>
      <c r="I23" s="21"/>
      <c r="J23" s="22"/>
      <c r="K23" s="81"/>
      <c r="L23" s="86"/>
      <c r="M23" s="32"/>
    </row>
    <row r="24" spans="1:13" ht="17.25" customHeight="1">
      <c r="A24" s="29" t="s">
        <v>14</v>
      </c>
      <c r="B24" s="21">
        <v>7.4</v>
      </c>
      <c r="C24" s="21">
        <v>0</v>
      </c>
      <c r="D24" s="21">
        <v>0</v>
      </c>
      <c r="E24" s="21">
        <v>0</v>
      </c>
      <c r="F24" s="21">
        <v>0</v>
      </c>
      <c r="G24" s="22">
        <v>0</v>
      </c>
      <c r="H24" s="21">
        <f t="shared" si="0"/>
        <v>0</v>
      </c>
      <c r="I24" s="21"/>
      <c r="J24" s="22">
        <v>6</v>
      </c>
      <c r="K24" s="81">
        <v>0</v>
      </c>
      <c r="L24" s="86">
        <v>0</v>
      </c>
      <c r="M24" s="32">
        <f t="shared" si="2"/>
        <v>6</v>
      </c>
    </row>
    <row r="25" spans="1:13" ht="17.25" customHeight="1">
      <c r="A25" s="29" t="s">
        <v>15</v>
      </c>
      <c r="B25" s="21">
        <v>513.3</v>
      </c>
      <c r="C25" s="21">
        <v>0</v>
      </c>
      <c r="D25" s="21">
        <v>-6.8</v>
      </c>
      <c r="E25" s="21">
        <v>12</v>
      </c>
      <c r="F25" s="21">
        <v>0</v>
      </c>
      <c r="G25" s="22">
        <v>0.4</v>
      </c>
      <c r="H25" s="21">
        <f t="shared" si="0"/>
        <v>5.6000000000000005</v>
      </c>
      <c r="I25" s="21"/>
      <c r="J25" s="22">
        <f>SUM(B25+H25+I25)</f>
        <v>518.9</v>
      </c>
      <c r="K25" s="81">
        <v>4.9</v>
      </c>
      <c r="L25" s="86">
        <v>0</v>
      </c>
      <c r="M25" s="32">
        <f t="shared" si="2"/>
        <v>523.8</v>
      </c>
    </row>
    <row r="26" spans="1:13" ht="17.25" customHeight="1">
      <c r="A26" s="30" t="s">
        <v>35</v>
      </c>
      <c r="B26" s="21">
        <v>94.7</v>
      </c>
      <c r="C26" s="21">
        <v>0</v>
      </c>
      <c r="D26" s="21">
        <v>0</v>
      </c>
      <c r="E26" s="21">
        <v>0</v>
      </c>
      <c r="F26" s="21">
        <v>0</v>
      </c>
      <c r="G26" s="22">
        <v>0</v>
      </c>
      <c r="H26" s="21">
        <f t="shared" si="0"/>
        <v>0</v>
      </c>
      <c r="I26" s="21"/>
      <c r="J26" s="22">
        <v>84.2</v>
      </c>
      <c r="K26" s="81">
        <v>-1.9</v>
      </c>
      <c r="L26" s="86">
        <v>0</v>
      </c>
      <c r="M26" s="32">
        <f t="shared" si="2"/>
        <v>82.3</v>
      </c>
    </row>
    <row r="27" spans="1:13" ht="17.25" customHeight="1">
      <c r="A27" s="30" t="s">
        <v>36</v>
      </c>
      <c r="B27" s="21"/>
      <c r="C27" s="21"/>
      <c r="D27" s="21"/>
      <c r="E27" s="21"/>
      <c r="F27" s="21"/>
      <c r="G27" s="22"/>
      <c r="H27" s="21"/>
      <c r="I27" s="21"/>
      <c r="J27" s="22"/>
      <c r="K27" s="81"/>
      <c r="L27" s="86"/>
      <c r="M27" s="32">
        <f t="shared" si="2"/>
        <v>0</v>
      </c>
    </row>
    <row r="28" spans="1:13" ht="17.25" customHeight="1">
      <c r="A28" s="29" t="s">
        <v>12</v>
      </c>
      <c r="B28" s="21">
        <v>-1.1</v>
      </c>
      <c r="C28" s="21"/>
      <c r="D28" s="21"/>
      <c r="E28" s="21"/>
      <c r="F28" s="21"/>
      <c r="G28" s="22"/>
      <c r="H28" s="21">
        <f t="shared" si="0"/>
        <v>0</v>
      </c>
      <c r="I28" s="21"/>
      <c r="J28" s="22">
        <f>SUM(B28+H28+I28)</f>
        <v>-1.1</v>
      </c>
      <c r="K28" s="81">
        <v>0</v>
      </c>
      <c r="L28" s="86">
        <v>0</v>
      </c>
      <c r="M28" s="32">
        <f t="shared" si="2"/>
        <v>-1.1</v>
      </c>
    </row>
    <row r="29" spans="1:13" ht="17.25" customHeight="1">
      <c r="A29" s="29" t="s">
        <v>14</v>
      </c>
      <c r="B29" s="21">
        <v>-5.8</v>
      </c>
      <c r="C29" s="21"/>
      <c r="D29" s="21"/>
      <c r="E29" s="21"/>
      <c r="F29" s="21"/>
      <c r="G29" s="22"/>
      <c r="H29" s="21">
        <f t="shared" si="0"/>
        <v>0</v>
      </c>
      <c r="I29" s="21"/>
      <c r="J29" s="22">
        <f>SUM(B29+H29+I29)</f>
        <v>-5.8</v>
      </c>
      <c r="K29" s="81">
        <v>0</v>
      </c>
      <c r="L29" s="86">
        <v>0</v>
      </c>
      <c r="M29" s="32">
        <f t="shared" si="2"/>
        <v>-5.8</v>
      </c>
    </row>
    <row r="30" spans="1:13" ht="17.25" customHeight="1">
      <c r="A30" s="11" t="s">
        <v>56</v>
      </c>
      <c r="B30" s="4"/>
      <c r="C30" s="5"/>
      <c r="D30" s="5"/>
      <c r="E30" s="5"/>
      <c r="F30" s="5"/>
      <c r="G30" s="5">
        <v>38.5</v>
      </c>
      <c r="H30" s="6">
        <f>J30</f>
        <v>38.5182</v>
      </c>
      <c r="I30" s="6"/>
      <c r="J30" s="5">
        <f>SUM(J20:J29)*0.014</f>
        <v>38.5182</v>
      </c>
      <c r="K30" s="82">
        <f>0.8-3.1</f>
        <v>-2.3</v>
      </c>
      <c r="L30" s="82">
        <v>0</v>
      </c>
      <c r="M30" s="32">
        <f t="shared" si="2"/>
        <v>36.2182</v>
      </c>
    </row>
    <row r="31" spans="1:13" ht="21.75" customHeight="1">
      <c r="A31" s="7" t="s">
        <v>5</v>
      </c>
      <c r="B31" s="8">
        <f>SUM(B20:B30)-B23-B27</f>
        <v>2804.9</v>
      </c>
      <c r="C31" s="8">
        <f aca="true" t="shared" si="3" ref="C31:H31">SUM(C20:C30)</f>
        <v>-11.7</v>
      </c>
      <c r="D31" s="8">
        <f t="shared" si="3"/>
        <v>-7.699999999999999</v>
      </c>
      <c r="E31" s="8">
        <f t="shared" si="3"/>
        <v>5.9</v>
      </c>
      <c r="F31" s="8">
        <f t="shared" si="3"/>
        <v>-8.9</v>
      </c>
      <c r="G31" s="8">
        <f t="shared" si="3"/>
        <v>17.799999999999997</v>
      </c>
      <c r="H31" s="8">
        <f t="shared" si="3"/>
        <v>-4.581800000000001</v>
      </c>
      <c r="I31" s="8"/>
      <c r="J31" s="9">
        <f>SUM(J20:J30)-J23-J27</f>
        <v>2789.8182</v>
      </c>
      <c r="K31" s="9">
        <f>SUM(K20:K30)-K23-K27</f>
        <v>1.3000000000000003</v>
      </c>
      <c r="L31" s="9">
        <f>SUM(L20:L30)-L23-L27</f>
        <v>-2.220446049250313E-16</v>
      </c>
      <c r="M31" s="9">
        <f>J31+K31</f>
        <v>2791.1182000000003</v>
      </c>
    </row>
    <row r="32" spans="1:13" ht="21" customHeight="1">
      <c r="A32" s="14" t="s">
        <v>4</v>
      </c>
      <c r="B32" s="4">
        <v>12.2</v>
      </c>
      <c r="C32" s="4"/>
      <c r="D32" s="4"/>
      <c r="E32" s="4"/>
      <c r="F32" s="4"/>
      <c r="G32" s="4"/>
      <c r="H32" s="4"/>
      <c r="I32" s="4"/>
      <c r="J32" s="5">
        <v>14.6</v>
      </c>
      <c r="K32" s="80">
        <v>0</v>
      </c>
      <c r="L32" s="80">
        <v>0</v>
      </c>
      <c r="M32" s="84">
        <f>J32+K32</f>
        <v>14.6</v>
      </c>
    </row>
    <row r="33" spans="1:13" ht="21" customHeight="1">
      <c r="A33" s="7" t="s">
        <v>19</v>
      </c>
      <c r="B33" s="8">
        <f>B8+B31+B32</f>
        <v>-57.20000000000009</v>
      </c>
      <c r="C33" s="8"/>
      <c r="D33" s="8"/>
      <c r="E33" s="8"/>
      <c r="F33" s="8"/>
      <c r="G33" s="8"/>
      <c r="H33" s="8"/>
      <c r="I33" s="8"/>
      <c r="J33" s="9">
        <f>J8+J31+J32</f>
        <v>-111.58179999999984</v>
      </c>
      <c r="K33" s="9">
        <f>K8+K31+K32</f>
        <v>1.3000000000000003</v>
      </c>
      <c r="L33" s="9">
        <f>L8+L31+L32</f>
        <v>-2.220446049250313E-16</v>
      </c>
      <c r="M33" s="77">
        <f>J33+K33</f>
        <v>-110.28179999999985</v>
      </c>
    </row>
    <row r="34" spans="1:13" ht="21" customHeight="1">
      <c r="A34" s="7"/>
      <c r="B34" s="9"/>
      <c r="C34" s="9"/>
      <c r="D34" s="9"/>
      <c r="E34" s="9"/>
      <c r="F34" s="9"/>
      <c r="G34" s="9"/>
      <c r="H34" s="9"/>
      <c r="I34" s="9"/>
      <c r="J34" s="9"/>
      <c r="K34" s="77"/>
      <c r="L34" s="77"/>
      <c r="M34" s="44"/>
    </row>
    <row r="35" spans="1:13" ht="21" customHeight="1">
      <c r="A35" s="43" t="s">
        <v>2</v>
      </c>
      <c r="B35" s="44">
        <v>32.4</v>
      </c>
      <c r="C35" s="44"/>
      <c r="D35" s="44"/>
      <c r="E35" s="44"/>
      <c r="F35" s="44"/>
      <c r="G35" s="44"/>
      <c r="H35" s="44"/>
      <c r="I35" s="44"/>
      <c r="J35" s="44">
        <v>34.7</v>
      </c>
      <c r="K35" s="83">
        <v>0</v>
      </c>
      <c r="L35" s="83"/>
      <c r="M35" s="44">
        <f aca="true" t="shared" si="4" ref="M35:M40">J35+K35</f>
        <v>34.7</v>
      </c>
    </row>
    <row r="36" spans="1:13" ht="21" customHeight="1">
      <c r="A36" s="43" t="s">
        <v>49</v>
      </c>
      <c r="B36" s="44"/>
      <c r="C36" s="44"/>
      <c r="D36" s="44"/>
      <c r="E36" s="44"/>
      <c r="F36" s="44"/>
      <c r="G36" s="44"/>
      <c r="H36" s="44"/>
      <c r="I36" s="44"/>
      <c r="J36" s="44">
        <v>1.8</v>
      </c>
      <c r="K36" s="83">
        <v>-0.5</v>
      </c>
      <c r="L36" s="83"/>
      <c r="M36" s="44">
        <f t="shared" si="4"/>
        <v>1.3</v>
      </c>
    </row>
    <row r="37" spans="1:13" ht="21" customHeight="1">
      <c r="A37" s="43" t="s">
        <v>50</v>
      </c>
      <c r="B37" s="44">
        <v>-30</v>
      </c>
      <c r="C37" s="44"/>
      <c r="D37" s="44"/>
      <c r="E37" s="44"/>
      <c r="F37" s="44"/>
      <c r="G37" s="44"/>
      <c r="H37" s="44"/>
      <c r="I37" s="44"/>
      <c r="J37" s="44">
        <v>-30</v>
      </c>
      <c r="K37" s="83">
        <v>0</v>
      </c>
      <c r="L37" s="83"/>
      <c r="M37" s="44">
        <f t="shared" si="4"/>
        <v>-30</v>
      </c>
    </row>
    <row r="38" spans="1:13" ht="21" customHeight="1">
      <c r="A38" s="43" t="s">
        <v>37</v>
      </c>
      <c r="B38" s="44">
        <v>-2</v>
      </c>
      <c r="C38" s="44"/>
      <c r="D38" s="44"/>
      <c r="E38" s="44"/>
      <c r="F38" s="44"/>
      <c r="G38" s="44"/>
      <c r="H38" s="44"/>
      <c r="I38" s="44"/>
      <c r="J38" s="44">
        <v>-2</v>
      </c>
      <c r="K38" s="83">
        <v>0</v>
      </c>
      <c r="L38" s="83"/>
      <c r="M38" s="44">
        <f t="shared" si="4"/>
        <v>-2</v>
      </c>
    </row>
    <row r="39" spans="1:13" ht="21" customHeight="1">
      <c r="A39" s="74" t="s">
        <v>51</v>
      </c>
      <c r="B39" s="44">
        <v>-20</v>
      </c>
      <c r="C39" s="44"/>
      <c r="D39" s="44"/>
      <c r="E39" s="44"/>
      <c r="F39" s="44"/>
      <c r="G39" s="44"/>
      <c r="H39" s="44"/>
      <c r="I39" s="44"/>
      <c r="J39" s="44"/>
      <c r="K39" s="83">
        <v>0</v>
      </c>
      <c r="L39" s="83"/>
      <c r="M39" s="44">
        <f t="shared" si="4"/>
        <v>0</v>
      </c>
    </row>
    <row r="40" spans="1:13" ht="70.5" customHeight="1">
      <c r="A40" s="85" t="s">
        <v>40</v>
      </c>
      <c r="B40" s="44">
        <f>B33+B35+B37+B38+B39</f>
        <v>-76.8000000000001</v>
      </c>
      <c r="C40" s="44"/>
      <c r="D40" s="44"/>
      <c r="E40" s="44"/>
      <c r="F40" s="44"/>
      <c r="G40" s="44"/>
      <c r="H40" s="44"/>
      <c r="I40" s="44"/>
      <c r="J40" s="44">
        <f>J33+J35+J36+J37+J38</f>
        <v>-107.08179999999984</v>
      </c>
      <c r="K40" s="44">
        <f>K33+K35+K36+K37+K38</f>
        <v>0.8000000000000003</v>
      </c>
      <c r="L40" s="44">
        <v>0</v>
      </c>
      <c r="M40" s="44">
        <f t="shared" si="4"/>
        <v>-106.28179999999985</v>
      </c>
    </row>
  </sheetData>
  <sheetProtection/>
  <mergeCells count="10">
    <mergeCell ref="M2:M3"/>
    <mergeCell ref="G2:G3"/>
    <mergeCell ref="J2:J3"/>
    <mergeCell ref="H2:H3"/>
    <mergeCell ref="A2:A3"/>
    <mergeCell ref="B2:B3"/>
    <mergeCell ref="D2:D3"/>
    <mergeCell ref="E2:E3"/>
    <mergeCell ref="C2:C3"/>
    <mergeCell ref="F2:F3"/>
  </mergeCells>
  <printOptions/>
  <pageMargins left="0.1968503937007874" right="0.1968503937007874" top="0.2755905511811024" bottom="0.3937007874015748" header="0" footer="0.15748031496062992"/>
  <pageSetup horizontalDpi="600" verticalDpi="600" orientation="portrait" paperSize="9" r:id="rId3"/>
  <headerFooter alignWithMargins="0">
    <oddFooter>&amp;L&amp;8Nr. 117292-13&amp;R&amp;D   &amp;T</oddFooter>
  </headerFooter>
  <rowBreaks count="1" manualBreakCount="1">
    <brk id="3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85" workbookViewId="0" topLeftCell="A1">
      <pane ySplit="3" topLeftCell="A28" activePane="bottomLeft" state="frozen"/>
      <selection pane="topLeft" activeCell="A31" sqref="A31"/>
      <selection pane="bottomLeft" activeCell="A31" sqref="A31"/>
    </sheetView>
  </sheetViews>
  <sheetFormatPr defaultColWidth="9.140625" defaultRowHeight="12.75"/>
  <cols>
    <col min="1" max="1" width="48.421875" style="0" customWidth="1"/>
    <col min="2" max="2" width="12.140625" style="26" customWidth="1"/>
    <col min="3" max="4" width="12.00390625" style="1" customWidth="1"/>
    <col min="5" max="5" width="12.28125" style="1" customWidth="1"/>
  </cols>
  <sheetData>
    <row r="1" spans="1:5" ht="21" customHeight="1">
      <c r="A1" s="98" t="s">
        <v>44</v>
      </c>
      <c r="B1" s="98"/>
      <c r="C1" s="98"/>
      <c r="D1" s="98"/>
      <c r="E1" s="98"/>
    </row>
    <row r="2" spans="1:5" ht="15" customHeight="1">
      <c r="A2" s="101" t="s">
        <v>3</v>
      </c>
      <c r="B2" s="103" t="s">
        <v>42</v>
      </c>
      <c r="C2" s="99" t="s">
        <v>24</v>
      </c>
      <c r="D2" s="99" t="s">
        <v>29</v>
      </c>
      <c r="E2" s="99" t="s">
        <v>43</v>
      </c>
    </row>
    <row r="3" spans="1:5" ht="61.5" customHeight="1">
      <c r="A3" s="102"/>
      <c r="B3" s="104"/>
      <c r="C3" s="100"/>
      <c r="D3" s="100"/>
      <c r="E3" s="100"/>
    </row>
    <row r="4" spans="1:5" ht="17.25" customHeight="1">
      <c r="A4" s="34"/>
      <c r="B4" s="35" t="s">
        <v>18</v>
      </c>
      <c r="C4" s="36"/>
      <c r="D4" s="36"/>
      <c r="E4" s="37"/>
    </row>
    <row r="5" spans="1:5" ht="17.25" customHeight="1">
      <c r="A5" s="48" t="s">
        <v>9</v>
      </c>
      <c r="B5" s="38"/>
      <c r="C5" s="39"/>
      <c r="D5" s="39"/>
      <c r="E5" s="40"/>
    </row>
    <row r="6" spans="1:5" ht="17.25" customHeight="1">
      <c r="A6" s="46" t="s">
        <v>0</v>
      </c>
      <c r="B6" s="50">
        <f>'2014'!M6</f>
        <v>-2120.8</v>
      </c>
      <c r="C6" s="51">
        <f>-2158.8+3.2</f>
        <v>-2155.6000000000004</v>
      </c>
      <c r="D6" s="51">
        <f>-2195.5+4</f>
        <v>-2191.5</v>
      </c>
      <c r="E6" s="32">
        <f>-2232.9+5.3</f>
        <v>-2227.6</v>
      </c>
    </row>
    <row r="7" spans="1:5" ht="17.25" customHeight="1">
      <c r="A7" s="47" t="s">
        <v>23</v>
      </c>
      <c r="B7" s="52">
        <f>'2014'!M7</f>
        <v>-795.2</v>
      </c>
      <c r="C7" s="4">
        <v>-781.8</v>
      </c>
      <c r="D7" s="4">
        <f>-795.1+17.7</f>
        <v>-777.4</v>
      </c>
      <c r="E7" s="5">
        <f>-808.5+17.7</f>
        <v>-790.8</v>
      </c>
    </row>
    <row r="8" spans="1:5" ht="17.25" customHeight="1">
      <c r="A8" s="49" t="s">
        <v>1</v>
      </c>
      <c r="B8" s="53">
        <f>SUM(B6:B7)</f>
        <v>-2916</v>
      </c>
      <c r="C8" s="53">
        <f>SUM(C6:C7)</f>
        <v>-2937.4000000000005</v>
      </c>
      <c r="D8" s="53">
        <f>SUM(D6:D7)</f>
        <v>-2968.9</v>
      </c>
      <c r="E8" s="54">
        <f>SUM(E6:E7)</f>
        <v>-3018.3999999999996</v>
      </c>
    </row>
    <row r="9" spans="1:5" ht="17.25" customHeight="1">
      <c r="A9" s="14" t="s">
        <v>16</v>
      </c>
      <c r="B9" s="38"/>
      <c r="C9" s="36"/>
      <c r="D9" s="36"/>
      <c r="E9" s="37"/>
    </row>
    <row r="10" spans="1:5" ht="17.25" customHeight="1">
      <c r="A10" s="14" t="s">
        <v>25</v>
      </c>
      <c r="B10" s="38"/>
      <c r="C10" s="36"/>
      <c r="D10" s="36"/>
      <c r="E10" s="37"/>
    </row>
    <row r="11" spans="1:5" ht="17.25" customHeight="1">
      <c r="A11" s="28" t="s">
        <v>10</v>
      </c>
      <c r="B11" s="52">
        <f>'2014'!M11</f>
        <v>361.09999999999997</v>
      </c>
      <c r="C11" s="4">
        <f>B11+10-15.7-3.4+4.5</f>
        <v>356.5</v>
      </c>
      <c r="D11" s="4">
        <f>C11+15.7-19-4.4+3.5</f>
        <v>352.3</v>
      </c>
      <c r="E11" s="5">
        <f>D11+19-19.9-3.5+0.9</f>
        <v>348.8</v>
      </c>
    </row>
    <row r="12" spans="1:5" ht="17.25" customHeight="1">
      <c r="A12" s="29" t="s">
        <v>11</v>
      </c>
      <c r="B12" s="55">
        <f>'2014'!M12</f>
        <v>108.8</v>
      </c>
      <c r="C12" s="21">
        <f>B12-9.8+9.6</f>
        <v>108.6</v>
      </c>
      <c r="D12" s="21">
        <f>C12-9.6+9.6</f>
        <v>108.6</v>
      </c>
      <c r="E12" s="22">
        <f>D12-9.6+9.6</f>
        <v>108.6</v>
      </c>
    </row>
    <row r="13" spans="1:5" ht="17.25" customHeight="1">
      <c r="A13" s="29" t="s">
        <v>12</v>
      </c>
      <c r="B13" s="52">
        <f>'2014'!M13</f>
        <v>828.3000000000001</v>
      </c>
      <c r="C13" s="4">
        <f>B13+16.8-22.1</f>
        <v>823</v>
      </c>
      <c r="D13" s="4">
        <f>C13+22.1-26.9</f>
        <v>818.2</v>
      </c>
      <c r="E13" s="5">
        <f>D13+26.9-28.2</f>
        <v>816.9</v>
      </c>
    </row>
    <row r="14" spans="1:5" ht="17.25" customHeight="1">
      <c r="A14" s="29" t="s">
        <v>13</v>
      </c>
      <c r="B14" s="55">
        <f>'2014'!M14</f>
        <v>74.1</v>
      </c>
      <c r="C14" s="21">
        <f>B14</f>
        <v>74.1</v>
      </c>
      <c r="D14" s="21">
        <f>C14</f>
        <v>74.1</v>
      </c>
      <c r="E14" s="22">
        <f>D14</f>
        <v>74.1</v>
      </c>
    </row>
    <row r="15" spans="1:5" ht="17.25" customHeight="1">
      <c r="A15" s="29" t="s">
        <v>14</v>
      </c>
      <c r="B15" s="52">
        <f>'2014'!M15</f>
        <v>612.3</v>
      </c>
      <c r="C15" s="4">
        <f>B15+16-14.8</f>
        <v>613.5</v>
      </c>
      <c r="D15" s="4">
        <f>C15+14.8-12.9</f>
        <v>615.4</v>
      </c>
      <c r="E15" s="5">
        <f>D15+12.9-12.9</f>
        <v>615.4</v>
      </c>
    </row>
    <row r="16" spans="1:5" ht="17.25" customHeight="1">
      <c r="A16" s="29" t="s">
        <v>15</v>
      </c>
      <c r="B16" s="55">
        <f>'2014'!M16</f>
        <v>7.2</v>
      </c>
      <c r="C16" s="21">
        <f aca="true" t="shared" si="0" ref="C16:E18">B16</f>
        <v>7.2</v>
      </c>
      <c r="D16" s="21">
        <f t="shared" si="0"/>
        <v>7.2</v>
      </c>
      <c r="E16" s="22">
        <f t="shared" si="0"/>
        <v>7.2</v>
      </c>
    </row>
    <row r="17" spans="1:5" ht="17.25" customHeight="1">
      <c r="A17" s="29" t="s">
        <v>41</v>
      </c>
      <c r="B17" s="55">
        <f>'2014'!M17</f>
        <v>0</v>
      </c>
      <c r="C17" s="21">
        <f t="shared" si="0"/>
        <v>0</v>
      </c>
      <c r="D17" s="21">
        <f t="shared" si="0"/>
        <v>0</v>
      </c>
      <c r="E17" s="22">
        <f t="shared" si="0"/>
        <v>0</v>
      </c>
    </row>
    <row r="18" spans="1:5" ht="17.25" customHeight="1">
      <c r="A18" s="72" t="s">
        <v>47</v>
      </c>
      <c r="B18" s="42">
        <f>'2014'!M18</f>
        <v>2.7</v>
      </c>
      <c r="C18" s="21">
        <f t="shared" si="0"/>
        <v>2.7</v>
      </c>
      <c r="D18" s="21">
        <f t="shared" si="0"/>
        <v>2.7</v>
      </c>
      <c r="E18" s="22">
        <f t="shared" si="0"/>
        <v>2.7</v>
      </c>
    </row>
    <row r="19" spans="1:5" ht="17.25" customHeight="1">
      <c r="A19" s="72" t="s">
        <v>48</v>
      </c>
      <c r="B19" s="42">
        <f>'2014'!M19</f>
        <v>1.8</v>
      </c>
      <c r="C19" s="21">
        <v>3.6</v>
      </c>
      <c r="D19" s="21">
        <f>C19</f>
        <v>3.6</v>
      </c>
      <c r="E19" s="22">
        <f>D19</f>
        <v>3.6</v>
      </c>
    </row>
    <row r="20" spans="1:5" ht="17.25" customHeight="1">
      <c r="A20" s="30" t="s">
        <v>31</v>
      </c>
      <c r="B20" s="55">
        <f>SUM(B11:B19)</f>
        <v>1996.3</v>
      </c>
      <c r="C20" s="55">
        <f>SUM(C11:C19)</f>
        <v>1989.1999999999998</v>
      </c>
      <c r="D20" s="55">
        <f>SUM(D11:D19)</f>
        <v>1982.1</v>
      </c>
      <c r="E20" s="56">
        <f>SUM(E11:E19)</f>
        <v>1977.2999999999997</v>
      </c>
    </row>
    <row r="21" spans="1:5" ht="17.25" customHeight="1">
      <c r="A21" s="30" t="s">
        <v>32</v>
      </c>
      <c r="B21" s="56">
        <f>'2014'!M21</f>
        <v>165.5</v>
      </c>
      <c r="C21" s="21">
        <f aca="true" t="shared" si="1" ref="C21:E22">B21</f>
        <v>165.5</v>
      </c>
      <c r="D21" s="21">
        <f t="shared" si="1"/>
        <v>165.5</v>
      </c>
      <c r="E21" s="22">
        <f t="shared" si="1"/>
        <v>165.5</v>
      </c>
    </row>
    <row r="22" spans="1:5" ht="17.25" customHeight="1">
      <c r="A22" s="30" t="s">
        <v>33</v>
      </c>
      <c r="B22" s="56">
        <f>'2014'!M22</f>
        <v>-12.1</v>
      </c>
      <c r="C22" s="21">
        <f t="shared" si="1"/>
        <v>-12.1</v>
      </c>
      <c r="D22" s="21">
        <f t="shared" si="1"/>
        <v>-12.1</v>
      </c>
      <c r="E22" s="22">
        <f t="shared" si="1"/>
        <v>-12.1</v>
      </c>
    </row>
    <row r="23" spans="1:5" ht="17.25" customHeight="1">
      <c r="A23" s="30" t="s">
        <v>26</v>
      </c>
      <c r="B23" s="52"/>
      <c r="C23" s="4"/>
      <c r="D23" s="4"/>
      <c r="E23" s="5"/>
    </row>
    <row r="24" spans="1:5" ht="17.25" customHeight="1">
      <c r="A24" s="29" t="s">
        <v>14</v>
      </c>
      <c r="B24" s="55">
        <f>'2014'!M24</f>
        <v>6</v>
      </c>
      <c r="C24" s="21">
        <f aca="true" t="shared" si="2" ref="C24:E26">B24</f>
        <v>6</v>
      </c>
      <c r="D24" s="21">
        <f t="shared" si="2"/>
        <v>6</v>
      </c>
      <c r="E24" s="22">
        <f t="shared" si="2"/>
        <v>6</v>
      </c>
    </row>
    <row r="25" spans="1:5" ht="17.25" customHeight="1">
      <c r="A25" s="29" t="s">
        <v>15</v>
      </c>
      <c r="B25" s="52">
        <f>'2014'!M25</f>
        <v>523.8</v>
      </c>
      <c r="C25" s="4">
        <f t="shared" si="2"/>
        <v>523.8</v>
      </c>
      <c r="D25" s="4">
        <f t="shared" si="2"/>
        <v>523.8</v>
      </c>
      <c r="E25" s="5">
        <f t="shared" si="2"/>
        <v>523.8</v>
      </c>
    </row>
    <row r="26" spans="1:5" s="45" customFormat="1" ht="17.25" customHeight="1">
      <c r="A26" s="30" t="s">
        <v>27</v>
      </c>
      <c r="B26" s="57">
        <f>'2014'!M26</f>
        <v>82.3</v>
      </c>
      <c r="C26" s="58">
        <f t="shared" si="2"/>
        <v>82.3</v>
      </c>
      <c r="D26" s="58">
        <f t="shared" si="2"/>
        <v>82.3</v>
      </c>
      <c r="E26" s="58">
        <f t="shared" si="2"/>
        <v>82.3</v>
      </c>
    </row>
    <row r="27" spans="1:5" ht="17.25" customHeight="1">
      <c r="A27" s="30" t="s">
        <v>28</v>
      </c>
      <c r="B27" s="55"/>
      <c r="C27" s="21"/>
      <c r="D27" s="21"/>
      <c r="E27" s="22"/>
    </row>
    <row r="28" spans="1:5" ht="17.25" customHeight="1">
      <c r="A28" s="29" t="s">
        <v>12</v>
      </c>
      <c r="B28" s="52">
        <f>'2014'!M28</f>
        <v>-1.1</v>
      </c>
      <c r="C28" s="4">
        <f aca="true" t="shared" si="3" ref="C28:E29">B28</f>
        <v>-1.1</v>
      </c>
      <c r="D28" s="4">
        <f t="shared" si="3"/>
        <v>-1.1</v>
      </c>
      <c r="E28" s="5">
        <f t="shared" si="3"/>
        <v>-1.1</v>
      </c>
    </row>
    <row r="29" spans="1:5" ht="17.25" customHeight="1">
      <c r="A29" s="29" t="s">
        <v>14</v>
      </c>
      <c r="B29" s="55">
        <f>'2014'!M29</f>
        <v>-5.8</v>
      </c>
      <c r="C29" s="21">
        <f t="shared" si="3"/>
        <v>-5.8</v>
      </c>
      <c r="D29" s="21">
        <f t="shared" si="3"/>
        <v>-5.8</v>
      </c>
      <c r="E29" s="22">
        <f t="shared" si="3"/>
        <v>-5.8</v>
      </c>
    </row>
    <row r="30" spans="1:5" ht="17.25" customHeight="1">
      <c r="A30" s="11" t="s">
        <v>56</v>
      </c>
      <c r="B30" s="52">
        <f>'2014'!M30</f>
        <v>36.2182</v>
      </c>
      <c r="C30" s="4">
        <f>(B30+(SUM(C20:C29)+B30)*0.017)+1.158</f>
        <v>84.70450939999999</v>
      </c>
      <c r="D30" s="4">
        <f>C30+(SUM(D20:D29)+C30)*0.017</f>
        <v>132.7363860598</v>
      </c>
      <c r="E30" s="33">
        <f>D30+(SUM(E20:E29)+D30)*0.017</f>
        <v>181.5032046228166</v>
      </c>
    </row>
    <row r="31" spans="1:5" ht="17.25" customHeight="1">
      <c r="A31" s="49" t="s">
        <v>5</v>
      </c>
      <c r="B31" s="8">
        <f>SUM(B20:B30)</f>
        <v>2791.1182</v>
      </c>
      <c r="C31" s="8">
        <f>SUM(C20:C30)</f>
        <v>2832.5045093999997</v>
      </c>
      <c r="D31" s="8">
        <f>SUM(D20:D30)</f>
        <v>2873.4363860598005</v>
      </c>
      <c r="E31" s="9">
        <f>SUM(E20:E30)</f>
        <v>2917.4032046228167</v>
      </c>
    </row>
    <row r="32" spans="1:5" ht="17.25" customHeight="1">
      <c r="A32" s="65" t="s">
        <v>4</v>
      </c>
      <c r="B32" s="59">
        <f>'2014'!M32</f>
        <v>14.6</v>
      </c>
      <c r="C32" s="59">
        <v>17</v>
      </c>
      <c r="D32" s="59">
        <v>18</v>
      </c>
      <c r="E32" s="60">
        <v>18</v>
      </c>
    </row>
    <row r="33" spans="1:5" ht="17.25" customHeight="1">
      <c r="A33" s="49" t="s">
        <v>22</v>
      </c>
      <c r="B33" s="8">
        <f>B8+B31+B32</f>
        <v>-110.28180000000012</v>
      </c>
      <c r="C33" s="8">
        <f>C8+C31+C32</f>
        <v>-87.89549060000081</v>
      </c>
      <c r="D33" s="8">
        <f>D8+D31+D32</f>
        <v>-77.4636139401996</v>
      </c>
      <c r="E33" s="9">
        <f>E8+E31+E32</f>
        <v>-82.99679537718293</v>
      </c>
    </row>
    <row r="34" spans="1:5" ht="17.25" customHeight="1">
      <c r="A34" s="66"/>
      <c r="B34" s="61"/>
      <c r="C34" s="62"/>
      <c r="D34" s="62"/>
      <c r="E34" s="62"/>
    </row>
    <row r="35" spans="1:5" ht="17.25" customHeight="1">
      <c r="A35" s="67" t="s">
        <v>2</v>
      </c>
      <c r="B35" s="63">
        <f>'2014'!M35</f>
        <v>34.7</v>
      </c>
      <c r="C35" s="63">
        <v>35.4</v>
      </c>
      <c r="D35" s="63">
        <v>36.8</v>
      </c>
      <c r="E35" s="63">
        <v>38.3</v>
      </c>
    </row>
    <row r="36" spans="1:5" ht="17.25" customHeight="1">
      <c r="A36" s="73" t="s">
        <v>49</v>
      </c>
      <c r="B36" s="63">
        <f>'2014'!M36</f>
        <v>1.3</v>
      </c>
      <c r="C36" s="63">
        <v>2.6</v>
      </c>
      <c r="D36" s="63">
        <v>3.9</v>
      </c>
      <c r="E36" s="63">
        <v>5.2</v>
      </c>
    </row>
    <row r="37" spans="1:5" ht="17.25" customHeight="1">
      <c r="A37" s="73" t="s">
        <v>50</v>
      </c>
      <c r="B37" s="63">
        <f>'2014'!M37</f>
        <v>-30</v>
      </c>
      <c r="C37" s="63">
        <v>-30</v>
      </c>
      <c r="D37" s="63">
        <v>-30</v>
      </c>
      <c r="E37" s="63">
        <v>0</v>
      </c>
    </row>
    <row r="38" spans="1:5" ht="17.25" customHeight="1">
      <c r="A38" s="67" t="s">
        <v>37</v>
      </c>
      <c r="B38" s="63">
        <f>'2014'!M38</f>
        <v>-2</v>
      </c>
      <c r="C38" s="63">
        <v>-2</v>
      </c>
      <c r="D38" s="63">
        <v>-2</v>
      </c>
      <c r="E38" s="63">
        <v>-2</v>
      </c>
    </row>
    <row r="39" spans="1:5" ht="66.75" customHeight="1">
      <c r="A39" s="67" t="s">
        <v>40</v>
      </c>
      <c r="B39" s="64">
        <f>B33+B35+B36+B37+B38</f>
        <v>-106.28180000000012</v>
      </c>
      <c r="C39" s="64">
        <f>C33+C35+C36+C37+C38</f>
        <v>-81.89549060000081</v>
      </c>
      <c r="D39" s="64">
        <f>D33+D35+D36+D37+D38</f>
        <v>-68.7636139401996</v>
      </c>
      <c r="E39" s="64">
        <f>E33+E35+E36+E37+E38</f>
        <v>-41.496795377182934</v>
      </c>
    </row>
    <row r="40" spans="1:5" ht="30.75" customHeight="1">
      <c r="A40" s="89" t="s">
        <v>53</v>
      </c>
      <c r="B40" s="90">
        <v>30</v>
      </c>
      <c r="C40" s="91">
        <v>30</v>
      </c>
      <c r="D40" s="91">
        <v>30</v>
      </c>
      <c r="E40" s="91">
        <v>0</v>
      </c>
    </row>
    <row r="41" spans="1:5" ht="33.75" customHeight="1">
      <c r="A41" s="92" t="s">
        <v>55</v>
      </c>
      <c r="B41" s="90">
        <f>84.256-B40</f>
        <v>54.256</v>
      </c>
      <c r="C41" s="91">
        <f>111.871-C40</f>
        <v>81.871</v>
      </c>
      <c r="D41" s="91">
        <f>58.954-D40</f>
        <v>28.954</v>
      </c>
      <c r="E41" s="91">
        <v>0</v>
      </c>
    </row>
    <row r="42" spans="1:5" ht="60">
      <c r="A42" s="85" t="s">
        <v>40</v>
      </c>
      <c r="B42" s="88">
        <f>SUM(B39:B41)</f>
        <v>-22.025800000000118</v>
      </c>
      <c r="C42" s="88">
        <f>SUM(C39:C41)</f>
        <v>29.975509399999183</v>
      </c>
      <c r="D42" s="88">
        <f>SUM(D39:D41)</f>
        <v>-9.809613940199604</v>
      </c>
      <c r="E42" s="88">
        <f>SUM(E39:E41)</f>
        <v>-41.496795377182934</v>
      </c>
    </row>
  </sheetData>
  <sheetProtection/>
  <mergeCells count="6">
    <mergeCell ref="A1:E1"/>
    <mergeCell ref="E2:E3"/>
    <mergeCell ref="A2:A3"/>
    <mergeCell ref="B2:B3"/>
    <mergeCell ref="C2:C3"/>
    <mergeCell ref="D2:D3"/>
  </mergeCells>
  <printOptions/>
  <pageMargins left="0.1968503937007874" right="0.1968503937007874" top="0.2755905511811024" bottom="0.3937007874015748" header="0" footer="0.15748031496062992"/>
  <pageSetup horizontalDpi="600" verticalDpi="600" orientation="portrait" paperSize="9" r:id="rId3"/>
  <headerFooter alignWithMargins="0">
    <oddFooter>&amp;L&amp;8Nr. 117292-13&amp;R&amp;D   &amp;T</oddFooter>
  </headerFooter>
  <rowBreaks count="1" manualBreakCount="1">
    <brk id="3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ØKO-21-08-2013 - Bilag 1197.02 Hovedoversigt for budget 2014 og budgetoverslag 2015-2017  1 behandli…</dc:title>
  <dc:subject>ØVRIGE</dc:subject>
  <dc:creator>JOPE</dc:creator>
  <cp:keywords/>
  <dc:description>Hovedoversigt for budget 2013 og budgetoverslag 2014-2016</dc:description>
  <cp:lastModifiedBy>Flemming Karlsen</cp:lastModifiedBy>
  <cp:lastPrinted>2013-08-19T06:46:02Z</cp:lastPrinted>
  <dcterms:created xsi:type="dcterms:W3CDTF">1996-11-12T13:28:11Z</dcterms:created>
  <dcterms:modified xsi:type="dcterms:W3CDTF">2013-08-19T06:46:06Z</dcterms:modified>
  <cp:category>::ODMA\GRPWISE\VARDE.DW_PO.VardeDok:216968.2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Økonomiudvalget</vt:lpwstr>
  </property>
  <property fmtid="{D5CDD505-2E9C-101B-9397-08002B2CF9AE}" pid="4" name="MeetingTit">
    <vt:lpwstr>21-08-2013</vt:lpwstr>
  </property>
  <property fmtid="{D5CDD505-2E9C-101B-9397-08002B2CF9AE}" pid="5" name="MeetingDateAndTi">
    <vt:lpwstr>21-08-2013 fra 13:00 - 14:37</vt:lpwstr>
  </property>
  <property fmtid="{D5CDD505-2E9C-101B-9397-08002B2CF9AE}" pid="6" name="AccessLevelNa">
    <vt:lpwstr>Åben</vt:lpwstr>
  </property>
  <property fmtid="{D5CDD505-2E9C-101B-9397-08002B2CF9AE}" pid="7" name="Fusion">
    <vt:lpwstr>1368548</vt:lpwstr>
  </property>
  <property fmtid="{D5CDD505-2E9C-101B-9397-08002B2CF9AE}" pid="8" name="SortOrd">
    <vt:lpwstr>2</vt:lpwstr>
  </property>
  <property fmtid="{D5CDD505-2E9C-101B-9397-08002B2CF9AE}" pid="9" name="MeetingEndDa">
    <vt:lpwstr>2013-08-21T14:37:00Z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117292/13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2013-08-21T13:00:00Z</vt:lpwstr>
  </property>
  <property fmtid="{D5CDD505-2E9C-101B-9397-08002B2CF9AE}" pid="14" name="PWDescripti">
    <vt:lpwstr>DA-1070206   Kopi til: </vt:lpwstr>
  </property>
  <property fmtid="{D5CDD505-2E9C-101B-9397-08002B2CF9AE}" pid="15" name="U">
    <vt:lpwstr>1207061</vt:lpwstr>
  </property>
  <property fmtid="{D5CDD505-2E9C-101B-9397-08002B2CF9AE}" pid="16" name="PWFileTy">
    <vt:lpwstr>.XLS</vt:lpwstr>
  </property>
  <property fmtid="{D5CDD505-2E9C-101B-9397-08002B2CF9AE}" pid="17" name="Agenda">
    <vt:lpwstr>1424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